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9996" activeTab="1"/>
  </bookViews>
  <sheets>
    <sheet name="Auxiliar" sheetId="1" r:id="rId1"/>
    <sheet name="Part I" sheetId="3" r:id="rId2"/>
    <sheet name="Part II" sheetId="2" r:id="rId3"/>
  </sheets>
  <calcPr calcId="145621"/>
</workbook>
</file>

<file path=xl/calcChain.xml><?xml version="1.0" encoding="utf-8"?>
<calcChain xmlns="http://schemas.openxmlformats.org/spreadsheetml/2006/main">
  <c r="D40" i="2" l="1"/>
  <c r="G31" i="2"/>
  <c r="F13" i="2"/>
  <c r="F16" i="2"/>
  <c r="E16" i="2"/>
  <c r="D16" i="2"/>
  <c r="C16" i="2"/>
  <c r="B16" i="2"/>
  <c r="R15" i="2"/>
  <c r="L15" i="2"/>
  <c r="G7" i="2"/>
  <c r="A3" i="3"/>
  <c r="A4" i="3" s="1"/>
  <c r="A5" i="3" s="1"/>
  <c r="A6" i="3" s="1"/>
  <c r="A7" i="3" s="1"/>
  <c r="A8" i="3" s="1"/>
  <c r="A9" i="3" s="1"/>
  <c r="A10" i="3" s="1"/>
  <c r="A2" i="3"/>
  <c r="B3" i="2"/>
  <c r="B2" i="2"/>
  <c r="D61" i="1"/>
  <c r="D58" i="1"/>
  <c r="D52" i="1"/>
  <c r="D55" i="1"/>
  <c r="I52" i="1"/>
  <c r="I54" i="1"/>
  <c r="J34" i="1"/>
  <c r="C18" i="1"/>
  <c r="D31" i="1"/>
  <c r="G44" i="1"/>
  <c r="R3" i="1"/>
  <c r="E41" i="1"/>
  <c r="C8" i="1" l="1"/>
  <c r="I25" i="1"/>
  <c r="I47" i="1" l="1"/>
  <c r="E34" i="1"/>
  <c r="I29" i="1"/>
  <c r="H34" i="1" s="1"/>
  <c r="I27" i="1"/>
  <c r="F29" i="1"/>
  <c r="F27" i="1"/>
  <c r="F25" i="1"/>
  <c r="N21" i="1"/>
  <c r="T21" i="1"/>
  <c r="H38" i="1" l="1"/>
  <c r="E36" i="1"/>
  <c r="H36" i="1" s="1"/>
  <c r="H22" i="1"/>
  <c r="G22" i="1"/>
  <c r="F22" i="1"/>
  <c r="E22" i="1" l="1"/>
  <c r="D22" i="1"/>
  <c r="H6" i="1"/>
  <c r="H5" i="1"/>
  <c r="H4" i="1"/>
  <c r="H3" i="1"/>
  <c r="H2" i="1"/>
  <c r="F2" i="1"/>
</calcChain>
</file>

<file path=xl/sharedStrings.xml><?xml version="1.0" encoding="utf-8"?>
<sst xmlns="http://schemas.openxmlformats.org/spreadsheetml/2006/main" count="189" uniqueCount="91">
  <si>
    <t>Coal composition by weight (%wt)</t>
  </si>
  <si>
    <t>1 kg</t>
  </si>
  <si>
    <t>kmol</t>
  </si>
  <si>
    <t>Carbon</t>
  </si>
  <si>
    <t>C</t>
  </si>
  <si>
    <t>K</t>
  </si>
  <si>
    <t>Hydrogen</t>
  </si>
  <si>
    <t>H</t>
  </si>
  <si>
    <t>MJ/kg</t>
  </si>
  <si>
    <t>Nitrogen</t>
  </si>
  <si>
    <t>N</t>
  </si>
  <si>
    <t>Sulfur</t>
  </si>
  <si>
    <t>S</t>
  </si>
  <si>
    <t>Oxygen</t>
  </si>
  <si>
    <t>O</t>
  </si>
  <si>
    <t>Ash</t>
  </si>
  <si>
    <t>Cinza</t>
  </si>
  <si>
    <t>H2O</t>
  </si>
  <si>
    <t>água (humidade)</t>
  </si>
  <si>
    <t>https://www.tandfonline.com/doi/pdf/10.1080/00022470.1964.10468295</t>
  </si>
  <si>
    <t>Balanços de massa</t>
  </si>
  <si>
    <t>ntotal seco</t>
  </si>
  <si>
    <t>kg</t>
  </si>
  <si>
    <t>(O2+3.76N2)</t>
  </si>
  <si>
    <t>a</t>
  </si>
  <si>
    <t>CO2</t>
  </si>
  <si>
    <t>N2</t>
  </si>
  <si>
    <t>NO2</t>
  </si>
  <si>
    <t>SO2</t>
  </si>
  <si>
    <t>O2</t>
  </si>
  <si>
    <t>CO</t>
  </si>
  <si>
    <t>b</t>
  </si>
  <si>
    <t>c</t>
  </si>
  <si>
    <t>d</t>
  </si>
  <si>
    <t>e</t>
  </si>
  <si>
    <t>f</t>
  </si>
  <si>
    <t>d/ntotal seco</t>
  </si>
  <si>
    <t>e/ntotalseco</t>
  </si>
  <si>
    <t>f/ntotal seco</t>
  </si>
  <si>
    <t>ntotalseco</t>
  </si>
  <si>
    <t>b+f</t>
  </si>
  <si>
    <t>c+d</t>
  </si>
  <si>
    <t>a=2b+2.2+2d+2*0.03125+f</t>
  </si>
  <si>
    <t>A/F real</t>
  </si>
  <si>
    <t>(100 kg de fuel)</t>
  </si>
  <si>
    <t>A/F estequiometrico</t>
  </si>
  <si>
    <t>m3/kg</t>
  </si>
  <si>
    <t>ar</t>
  </si>
  <si>
    <t>air density</t>
  </si>
  <si>
    <t>kg/m3</t>
  </si>
  <si>
    <t>kg ar/kg fuel</t>
  </si>
  <si>
    <t>1% O2</t>
  </si>
  <si>
    <t>ntotal 6%</t>
  </si>
  <si>
    <t>ntotal 1%</t>
  </si>
  <si>
    <t>NO2 6%</t>
  </si>
  <si>
    <t>kmol/kmol</t>
  </si>
  <si>
    <t>kmol/m3</t>
  </si>
  <si>
    <t>mg/Nm3</t>
  </si>
  <si>
    <t>&gt;</t>
  </si>
  <si>
    <t>EGR; NSCR; SCR; injeção h2O</t>
  </si>
  <si>
    <t>PCS</t>
  </si>
  <si>
    <t>Adiabatic temperature</t>
  </si>
  <si>
    <t>daf-dry ash free</t>
  </si>
  <si>
    <t>a)</t>
  </si>
  <si>
    <t>Betuminous</t>
  </si>
  <si>
    <t>b)</t>
  </si>
  <si>
    <t>Seyler</t>
  </si>
  <si>
    <t>Moisture</t>
  </si>
  <si>
    <t>PCI =PCS-H2O*heat vaporization/massfuel</t>
  </si>
  <si>
    <t>c)</t>
  </si>
  <si>
    <t>mass air/mass fuel</t>
  </si>
  <si>
    <t>a*(32+3.76*28)/100</t>
  </si>
  <si>
    <t>d)</t>
  </si>
  <si>
    <t>O2 1%</t>
  </si>
  <si>
    <t>formula dry</t>
  </si>
  <si>
    <t>e)</t>
  </si>
  <si>
    <t>to decrease CO emissions more air must be added (poorer combustion)</t>
  </si>
  <si>
    <t>if CO decrease means that slightly more CO2 is formed but SO2 emission sare not affected that depend upon Sulphur content on the fuel</t>
  </si>
  <si>
    <t>Part I (10 val)</t>
  </si>
  <si>
    <t>10 questões verdadeiro ou falso (desconta 0.5 valores por cada errada)</t>
  </si>
  <si>
    <r>
      <t>1.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 xml:space="preserve">A temperatura adiabática do hidrogénio é superior à do metano. </t>
    </r>
  </si>
  <si>
    <r>
      <t>ÿ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Calibri"/>
        <family val="2"/>
        <scheme val="minor"/>
      </rPr>
      <t> </t>
    </r>
  </si>
  <si>
    <r>
      <t>2.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Calibri"/>
        <family val="2"/>
        <scheme val="minor"/>
      </rPr>
      <t>Quanto maior o poder calorifico de um combustível menor a sua temperatura de chama.</t>
    </r>
  </si>
  <si>
    <r>
      <t>3.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Calibri"/>
        <family val="2"/>
        <scheme val="minor"/>
      </rPr>
      <t>As emissões de NOx são influenciadas pelo azoto presente no combustível, embora o mecanismo térmico de Zeldovich geralmente prevaleça.</t>
    </r>
  </si>
  <si>
    <r>
      <t>4.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As emissões de uma central termoelétrica que queima hidrogénio são essencialmente água, dióxido de carbono e azoto.</t>
    </r>
  </si>
  <si>
    <r>
      <t>5.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 xml:space="preserve">As emissões de hidrocarbonetos são altamente correlacionáveis com a riqueza da mistura dos reagentes. </t>
    </r>
  </si>
  <si>
    <r>
      <t>6.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Os motores de ignição por compressão necessitam de combustíveis com um elevado número de octanas.</t>
    </r>
  </si>
  <si>
    <r>
      <t>7.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A velocidade de propagação de uma chama turbulenta num motor a Diesel é tanto maior quanto maior a temperatura dos reagentes e quanto mais próximo da estequiometria estiverem.</t>
    </r>
  </si>
  <si>
    <r>
      <t>8.</t>
    </r>
    <r>
      <rPr>
        <sz val="7"/>
        <color theme="1"/>
        <rFont val="Times New Roman"/>
        <family val="1"/>
      </rPr>
      <t xml:space="preserve">                </t>
    </r>
    <r>
      <rPr>
        <sz val="11"/>
        <color theme="1"/>
        <rFont val="Calibri"/>
        <family val="2"/>
        <scheme val="minor"/>
      </rPr>
      <t>Na combustão de uma gota de água, o seu tempo de vida segue a lei do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isto é, quanto maior a gota mais tempo demora a sua combustão.</t>
    </r>
  </si>
  <si>
    <r>
      <t>9.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 xml:space="preserve">O principal problema das centrais a carvão é a acumulação de cinzas, nos permutadores de calor fenómeno conhecido por </t>
    </r>
    <r>
      <rPr>
        <i/>
        <sz val="11"/>
        <color theme="1"/>
        <rFont val="Calibri"/>
        <family val="2"/>
        <scheme val="minor"/>
      </rPr>
      <t>quenching</t>
    </r>
    <r>
      <rPr>
        <sz val="11"/>
        <color theme="1"/>
        <rFont val="Calibri"/>
        <family val="2"/>
        <scheme val="minor"/>
      </rPr>
      <t>.</t>
    </r>
  </si>
  <si>
    <r>
      <t>10.</t>
    </r>
    <r>
      <rPr>
        <sz val="7"/>
        <color theme="1"/>
        <rFont val="Times New Roman"/>
        <family val="1"/>
      </rPr>
      <t xml:space="preserve">             </t>
    </r>
    <r>
      <rPr>
        <sz val="11"/>
        <color theme="1"/>
        <rFont val="Calibri"/>
        <family val="2"/>
        <scheme val="minor"/>
      </rPr>
      <t>A reação heterogénea que ocorre numa partícula de carvão com o oxigénio depois da combustão da água é C+O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-&gt;CO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</si>
</sst>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justify" vertical="center"/>
    </xf>
    <xf numFmtId="0" fontId="0" fillId="2" borderId="0" xfId="0" applyFill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243840</xdr:colOff>
      <xdr:row>20</xdr:row>
      <xdr:rowOff>99060</xdr:rowOff>
    </xdr:from>
    <xdr:to>
      <xdr:col>11</xdr:col>
      <xdr:colOff>7620</xdr:colOff>
      <xdr:row>20</xdr:row>
      <xdr:rowOff>99060</xdr:rowOff>
    </xdr:to>
    <xdr:cxnSp macro="">
      <xdr:nvCxnSpPr>
        <xdr:cNvPr id="3" name="Straight Arrow Connector 2"/>
        <xdr:cNvCxnSpPr/>
      </xdr:nvCxnSpPr>
      <xdr:spPr>
        <a:xfrm>
          <a:off x="10050780" y="4907280"/>
          <a:ext cx="373380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14</xdr:row>
      <xdr:rowOff>99060</xdr:rowOff>
    </xdr:from>
    <xdr:to>
      <xdr:col>9</xdr:col>
      <xdr:colOff>7620</xdr:colOff>
      <xdr:row>14</xdr:row>
      <xdr:rowOff>99060</xdr:rowOff>
    </xdr:to>
    <xdr:cxnSp macro="">
      <xdr:nvCxnSpPr>
        <xdr:cNvPr id="2" name="Straight Arrow Connector 1"/>
        <xdr:cNvCxnSpPr/>
      </xdr:nvCxnSpPr>
      <xdr:spPr>
        <a:xfrm>
          <a:off x="10302240" y="4312920"/>
          <a:ext cx="373380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opLeftCell="A34" workbookViewId="0">
      <selection activeCell="C55" sqref="C55:H64"/>
    </sheetView>
  </sheetViews>
  <sheetFormatPr defaultRowHeight="14.4" x14ac:dyDescent="0.3"/>
  <cols>
    <col min="2" max="2" width="63" bestFit="1" customWidth="1"/>
    <col min="5" max="5" width="10.21875" customWidth="1"/>
    <col min="8" max="8" width="11.21875" customWidth="1"/>
  </cols>
  <sheetData>
    <row r="1" spans="1:18" ht="46.2" customHeight="1" thickBot="1" x14ac:dyDescent="0.35">
      <c r="A1" s="5">
        <v>1</v>
      </c>
      <c r="B1" s="1" t="s">
        <v>0</v>
      </c>
      <c r="D1" t="s">
        <v>1</v>
      </c>
      <c r="F1" t="s">
        <v>2</v>
      </c>
      <c r="H1" t="s">
        <v>2</v>
      </c>
    </row>
    <row r="2" spans="1:18" ht="16.2" thickBot="1" x14ac:dyDescent="0.35">
      <c r="B2" s="3" t="s">
        <v>3</v>
      </c>
      <c r="C2" s="4">
        <v>67.7</v>
      </c>
      <c r="D2">
        <v>0.67700000000000005</v>
      </c>
      <c r="E2" t="s">
        <v>4</v>
      </c>
      <c r="F2">
        <f>D2/12+D3/1+D4/14+D5/32+D6/16</f>
        <v>0.10505059523809523</v>
      </c>
      <c r="H2">
        <f>D2/12</f>
        <v>5.6416666666666671E-2</v>
      </c>
      <c r="I2" t="s">
        <v>4</v>
      </c>
    </row>
    <row r="3" spans="1:18" ht="16.2" thickBot="1" x14ac:dyDescent="0.35">
      <c r="B3" s="6" t="s">
        <v>6</v>
      </c>
      <c r="C3" s="7">
        <v>4.4000000000000004</v>
      </c>
      <c r="D3">
        <v>4.3999999999999997E-2</v>
      </c>
      <c r="E3" t="s">
        <v>7</v>
      </c>
      <c r="H3">
        <f>D3/1</f>
        <v>4.3999999999999997E-2</v>
      </c>
      <c r="I3" t="s">
        <v>7</v>
      </c>
      <c r="R3">
        <f>35-2.2*44.01/100</f>
        <v>34.031779999999998</v>
      </c>
    </row>
    <row r="4" spans="1:18" ht="16.2" thickBot="1" x14ac:dyDescent="0.35">
      <c r="B4" s="6" t="s">
        <v>9</v>
      </c>
      <c r="C4" s="7">
        <v>1.5</v>
      </c>
      <c r="D4">
        <v>1.4999999999999999E-2</v>
      </c>
      <c r="E4" t="s">
        <v>10</v>
      </c>
      <c r="H4">
        <f>D4/14</f>
        <v>1.0714285714285715E-3</v>
      </c>
      <c r="I4" t="s">
        <v>10</v>
      </c>
    </row>
    <row r="5" spans="1:18" ht="16.2" thickBot="1" x14ac:dyDescent="0.35">
      <c r="B5" s="6" t="s">
        <v>11</v>
      </c>
      <c r="C5" s="7">
        <v>1</v>
      </c>
      <c r="D5">
        <v>0.01</v>
      </c>
      <c r="E5" t="s">
        <v>12</v>
      </c>
      <c r="H5">
        <f>D5/32</f>
        <v>3.1250000000000001E-4</v>
      </c>
      <c r="I5" t="s">
        <v>12</v>
      </c>
    </row>
    <row r="6" spans="1:18" ht="16.2" thickBot="1" x14ac:dyDescent="0.35">
      <c r="B6" s="6" t="s">
        <v>13</v>
      </c>
      <c r="C6" s="7">
        <v>5.2</v>
      </c>
      <c r="D6">
        <v>5.1999999999999998E-2</v>
      </c>
      <c r="E6" t="s">
        <v>14</v>
      </c>
      <c r="H6">
        <f>D6/16</f>
        <v>3.2499999999999999E-3</v>
      </c>
      <c r="I6" t="s">
        <v>14</v>
      </c>
    </row>
    <row r="7" spans="1:18" ht="16.2" thickBot="1" x14ac:dyDescent="0.35">
      <c r="B7" s="6" t="s">
        <v>15</v>
      </c>
      <c r="C7" s="7">
        <v>13.4</v>
      </c>
      <c r="D7">
        <v>0.13400000000000001</v>
      </c>
      <c r="E7" t="s">
        <v>16</v>
      </c>
      <c r="I7" t="s">
        <v>17</v>
      </c>
    </row>
    <row r="8" spans="1:18" ht="15.6" x14ac:dyDescent="0.3">
      <c r="B8" s="8" t="s">
        <v>18</v>
      </c>
      <c r="C8">
        <f>100-(SUM(C2:C7))</f>
        <v>6.7999999999999829</v>
      </c>
    </row>
    <row r="12" spans="1:18" x14ac:dyDescent="0.3">
      <c r="B12" t="s">
        <v>19</v>
      </c>
    </row>
    <row r="15" spans="1:18" x14ac:dyDescent="0.3">
      <c r="A15" s="5">
        <v>2</v>
      </c>
      <c r="B15" s="5" t="s">
        <v>20</v>
      </c>
      <c r="C15" s="5"/>
      <c r="E15">
        <v>100</v>
      </c>
      <c r="F15" t="s">
        <v>22</v>
      </c>
    </row>
    <row r="18" spans="2:25" x14ac:dyDescent="0.3">
      <c r="B18" t="s">
        <v>21</v>
      </c>
      <c r="C18">
        <f>1/32/(0.148*10^-2)</f>
        <v>21.114864864864867</v>
      </c>
      <c r="D18" t="s">
        <v>2</v>
      </c>
    </row>
    <row r="21" spans="2:25" x14ac:dyDescent="0.3">
      <c r="D21" s="5" t="s">
        <v>4</v>
      </c>
      <c r="E21" s="5" t="s">
        <v>7</v>
      </c>
      <c r="F21" s="5" t="s">
        <v>10</v>
      </c>
      <c r="G21" s="5" t="s">
        <v>12</v>
      </c>
      <c r="H21" s="5" t="s">
        <v>14</v>
      </c>
      <c r="I21" s="5" t="s">
        <v>24</v>
      </c>
      <c r="J21" s="5" t="s">
        <v>23</v>
      </c>
      <c r="L21" s="5" t="s">
        <v>31</v>
      </c>
      <c r="M21" s="5" t="s">
        <v>25</v>
      </c>
      <c r="N21">
        <f>E22/2</f>
        <v>2.2000000000000002</v>
      </c>
      <c r="O21" s="5" t="s">
        <v>17</v>
      </c>
      <c r="P21" s="5" t="s">
        <v>32</v>
      </c>
      <c r="Q21" s="5" t="s">
        <v>26</v>
      </c>
      <c r="R21" s="5" t="s">
        <v>33</v>
      </c>
      <c r="S21" s="5" t="s">
        <v>27</v>
      </c>
      <c r="T21">
        <f>G22</f>
        <v>3.125E-2</v>
      </c>
      <c r="U21" s="5" t="s">
        <v>28</v>
      </c>
      <c r="V21" s="5" t="s">
        <v>34</v>
      </c>
      <c r="W21" s="5" t="s">
        <v>29</v>
      </c>
      <c r="X21" s="5" t="s">
        <v>35</v>
      </c>
      <c r="Y21" s="5" t="s">
        <v>30</v>
      </c>
    </row>
    <row r="22" spans="2:25" x14ac:dyDescent="0.3">
      <c r="D22">
        <f>67.7/12</f>
        <v>5.6416666666666666</v>
      </c>
      <c r="E22">
        <f>4.4/1</f>
        <v>4.4000000000000004</v>
      </c>
      <c r="F22">
        <f>1.5/14</f>
        <v>0.10714285714285714</v>
      </c>
      <c r="G22">
        <f>1/32</f>
        <v>3.125E-2</v>
      </c>
      <c r="H22">
        <f>5.2/16</f>
        <v>0.32500000000000001</v>
      </c>
    </row>
    <row r="25" spans="2:25" x14ac:dyDescent="0.3">
      <c r="D25" t="s">
        <v>36</v>
      </c>
      <c r="F25">
        <f>400*10^-6</f>
        <v>3.9999999999999996E-4</v>
      </c>
      <c r="H25" t="s">
        <v>33</v>
      </c>
      <c r="I25">
        <f>F25*D31</f>
        <v>4.3103448275862065E-2</v>
      </c>
    </row>
    <row r="27" spans="2:25" x14ac:dyDescent="0.3">
      <c r="D27" t="s">
        <v>37</v>
      </c>
      <c r="F27">
        <f>1*10^-2</f>
        <v>0.01</v>
      </c>
      <c r="H27" t="s">
        <v>34</v>
      </c>
      <c r="I27">
        <f>F27*D31</f>
        <v>1.0775862068965518</v>
      </c>
    </row>
    <row r="29" spans="2:25" x14ac:dyDescent="0.3">
      <c r="D29" t="s">
        <v>38</v>
      </c>
      <c r="F29">
        <f>4300*10^-6</f>
        <v>4.3E-3</v>
      </c>
      <c r="H29" t="s">
        <v>35</v>
      </c>
      <c r="I29">
        <f>F29*D31</f>
        <v>0.46336206896551724</v>
      </c>
    </row>
    <row r="31" spans="2:25" x14ac:dyDescent="0.3">
      <c r="B31">
        <v>2.9000000000000001E-2</v>
      </c>
      <c r="C31" t="s">
        <v>39</v>
      </c>
      <c r="D31" s="2">
        <f>T21/(B31*10^-2)</f>
        <v>107.75862068965517</v>
      </c>
    </row>
    <row r="34" spans="4:10" x14ac:dyDescent="0.3">
      <c r="D34" t="s">
        <v>40</v>
      </c>
      <c r="E34">
        <f>D22</f>
        <v>5.6416666666666666</v>
      </c>
      <c r="G34" t="s">
        <v>31</v>
      </c>
      <c r="H34">
        <f>E34-I29</f>
        <v>5.1783045977011497</v>
      </c>
      <c r="J34" s="2">
        <f>H34+N21+H36+I25+T21+I27+I29</f>
        <v>108.08610550082102</v>
      </c>
    </row>
    <row r="36" spans="4:10" x14ac:dyDescent="0.3">
      <c r="D36" t="s">
        <v>41</v>
      </c>
      <c r="E36">
        <f>F22+2*3.76*H38</f>
        <v>99.135602627257796</v>
      </c>
      <c r="G36" t="s">
        <v>32</v>
      </c>
      <c r="H36">
        <f>E36-I25</f>
        <v>99.092499178981939</v>
      </c>
    </row>
    <row r="38" spans="4:10" x14ac:dyDescent="0.3">
      <c r="D38" t="s">
        <v>42</v>
      </c>
      <c r="G38" t="s">
        <v>24</v>
      </c>
      <c r="H38">
        <f>2*H34+2.2+2*I25+2*0.03125+I29</f>
        <v>13.168678160919541</v>
      </c>
    </row>
    <row r="41" spans="4:10" x14ac:dyDescent="0.3">
      <c r="D41" t="s">
        <v>43</v>
      </c>
      <c r="E41">
        <f>H38*(32+3.76*28)/100</f>
        <v>18.077961379310345</v>
      </c>
      <c r="G41" t="s">
        <v>44</v>
      </c>
    </row>
    <row r="44" spans="4:10" x14ac:dyDescent="0.3">
      <c r="D44" t="s">
        <v>45</v>
      </c>
      <c r="G44">
        <f>9-0.25</f>
        <v>8.75</v>
      </c>
      <c r="H44" t="s">
        <v>46</v>
      </c>
      <c r="I44" t="s">
        <v>47</v>
      </c>
    </row>
    <row r="47" spans="4:10" x14ac:dyDescent="0.3">
      <c r="D47" t="s">
        <v>48</v>
      </c>
      <c r="F47">
        <v>1.2</v>
      </c>
      <c r="G47" t="s">
        <v>49</v>
      </c>
      <c r="I47">
        <f>F47*G44</f>
        <v>10.5</v>
      </c>
      <c r="J47" t="s">
        <v>50</v>
      </c>
    </row>
    <row r="52" spans="3:9" x14ac:dyDescent="0.3">
      <c r="C52" t="s">
        <v>27</v>
      </c>
      <c r="D52">
        <f>F25</f>
        <v>3.9999999999999996E-4</v>
      </c>
      <c r="E52" t="s">
        <v>55</v>
      </c>
      <c r="F52" t="s">
        <v>51</v>
      </c>
      <c r="H52" t="s">
        <v>53</v>
      </c>
      <c r="I52" s="9">
        <f>4.76*((D22+(1-0.01)*E22/4)/(1-4.76*0.01))-E22/4</f>
        <v>32.539199216015675</v>
      </c>
    </row>
    <row r="54" spans="3:9" x14ac:dyDescent="0.3">
      <c r="H54" t="s">
        <v>52</v>
      </c>
      <c r="I54">
        <f>4.76*((D22+(1-0.06)*E22/4)/(1-4.76*0.06))-E22/4</f>
        <v>43.379525942515855</v>
      </c>
    </row>
    <row r="55" spans="3:9" x14ac:dyDescent="0.3">
      <c r="C55" t="s">
        <v>54</v>
      </c>
      <c r="D55">
        <f>D52*I52/I54</f>
        <v>3.0004199916001679E-4</v>
      </c>
      <c r="E55" t="s">
        <v>55</v>
      </c>
    </row>
    <row r="58" spans="3:9" x14ac:dyDescent="0.3">
      <c r="C58" t="s">
        <v>56</v>
      </c>
      <c r="D58">
        <f>100/(8.314*298)</f>
        <v>4.0362096439578748E-2</v>
      </c>
    </row>
    <row r="61" spans="3:9" x14ac:dyDescent="0.3">
      <c r="C61" t="s">
        <v>54</v>
      </c>
      <c r="D61">
        <f>D55*D58*(14+16)*1000000</f>
        <v>363.30972318061811</v>
      </c>
      <c r="E61" t="s">
        <v>57</v>
      </c>
      <c r="F61" t="s">
        <v>58</v>
      </c>
      <c r="G61">
        <v>200</v>
      </c>
      <c r="H61" t="s">
        <v>57</v>
      </c>
    </row>
    <row r="64" spans="3:9" x14ac:dyDescent="0.3">
      <c r="C64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3" sqref="C23"/>
    </sheetView>
  </sheetViews>
  <sheetFormatPr defaultRowHeight="14.4" x14ac:dyDescent="0.3"/>
  <sheetData>
    <row r="1" spans="1:6" x14ac:dyDescent="0.3">
      <c r="A1">
        <v>1</v>
      </c>
      <c r="B1" t="b">
        <v>1</v>
      </c>
      <c r="E1" s="13" t="s">
        <v>78</v>
      </c>
    </row>
    <row r="2" spans="1:6" x14ac:dyDescent="0.3">
      <c r="A2">
        <f>A1+1</f>
        <v>2</v>
      </c>
      <c r="B2" t="b">
        <v>1</v>
      </c>
      <c r="E2" s="13" t="s">
        <v>79</v>
      </c>
    </row>
    <row r="3" spans="1:6" x14ac:dyDescent="0.3">
      <c r="A3">
        <f t="shared" ref="A3:A12" si="0">A2+1</f>
        <v>3</v>
      </c>
      <c r="B3" t="b">
        <v>1</v>
      </c>
      <c r="E3" s="12"/>
    </row>
    <row r="4" spans="1:6" x14ac:dyDescent="0.3">
      <c r="A4">
        <f t="shared" si="0"/>
        <v>4</v>
      </c>
      <c r="B4" t="b">
        <v>0</v>
      </c>
      <c r="E4" s="12" t="s">
        <v>80</v>
      </c>
    </row>
    <row r="5" spans="1:6" x14ac:dyDescent="0.3">
      <c r="A5">
        <f t="shared" si="0"/>
        <v>5</v>
      </c>
      <c r="B5" t="b">
        <v>0</v>
      </c>
      <c r="E5" s="14" t="b">
        <v>1</v>
      </c>
      <c r="F5" s="15" t="s">
        <v>81</v>
      </c>
    </row>
    <row r="6" spans="1:6" x14ac:dyDescent="0.3">
      <c r="A6">
        <f t="shared" si="0"/>
        <v>6</v>
      </c>
      <c r="B6" t="b">
        <v>0</v>
      </c>
      <c r="E6" s="14" t="b">
        <v>0</v>
      </c>
      <c r="F6" s="15" t="s">
        <v>81</v>
      </c>
    </row>
    <row r="7" spans="1:6" x14ac:dyDescent="0.3">
      <c r="A7">
        <f t="shared" si="0"/>
        <v>7</v>
      </c>
      <c r="B7" t="b">
        <v>1</v>
      </c>
      <c r="E7" s="16" t="s">
        <v>82</v>
      </c>
    </row>
    <row r="8" spans="1:6" x14ac:dyDescent="0.3">
      <c r="A8">
        <f t="shared" si="0"/>
        <v>8</v>
      </c>
      <c r="B8" t="b">
        <v>0</v>
      </c>
      <c r="E8" s="14" t="b">
        <v>1</v>
      </c>
      <c r="F8" s="15" t="s">
        <v>81</v>
      </c>
    </row>
    <row r="9" spans="1:6" x14ac:dyDescent="0.3">
      <c r="A9">
        <f t="shared" si="0"/>
        <v>9</v>
      </c>
      <c r="B9" t="b">
        <v>0</v>
      </c>
      <c r="E9" s="14" t="b">
        <v>0</v>
      </c>
      <c r="F9" s="15" t="s">
        <v>81</v>
      </c>
    </row>
    <row r="10" spans="1:6" x14ac:dyDescent="0.3">
      <c r="A10">
        <f t="shared" si="0"/>
        <v>10</v>
      </c>
      <c r="B10" t="b">
        <v>0</v>
      </c>
      <c r="E10" s="16" t="s">
        <v>83</v>
      </c>
    </row>
    <row r="11" spans="1:6" x14ac:dyDescent="0.3">
      <c r="E11" s="14" t="b">
        <v>1</v>
      </c>
      <c r="F11" s="15" t="s">
        <v>81</v>
      </c>
    </row>
    <row r="12" spans="1:6" x14ac:dyDescent="0.3">
      <c r="E12" s="14" t="b">
        <v>0</v>
      </c>
      <c r="F12" s="15" t="s">
        <v>81</v>
      </c>
    </row>
    <row r="13" spans="1:6" x14ac:dyDescent="0.3">
      <c r="E13" s="12" t="s">
        <v>84</v>
      </c>
    </row>
    <row r="14" spans="1:6" x14ac:dyDescent="0.3">
      <c r="E14" s="14" t="b">
        <v>1</v>
      </c>
      <c r="F14" s="15" t="s">
        <v>81</v>
      </c>
    </row>
    <row r="15" spans="1:6" x14ac:dyDescent="0.3">
      <c r="E15" s="14" t="b">
        <v>0</v>
      </c>
      <c r="F15" s="15" t="s">
        <v>81</v>
      </c>
    </row>
    <row r="16" spans="1:6" x14ac:dyDescent="0.3">
      <c r="E16" s="12" t="s">
        <v>85</v>
      </c>
    </row>
    <row r="17" spans="5:6" x14ac:dyDescent="0.3">
      <c r="E17" s="14" t="b">
        <v>1</v>
      </c>
      <c r="F17" s="15" t="s">
        <v>81</v>
      </c>
    </row>
    <row r="18" spans="5:6" x14ac:dyDescent="0.3">
      <c r="E18" s="14" t="b">
        <v>0</v>
      </c>
      <c r="F18" s="15" t="s">
        <v>81</v>
      </c>
    </row>
    <row r="19" spans="5:6" x14ac:dyDescent="0.3">
      <c r="E19" s="12" t="s">
        <v>86</v>
      </c>
    </row>
    <row r="20" spans="5:6" x14ac:dyDescent="0.3">
      <c r="E20" s="14" t="b">
        <v>1</v>
      </c>
      <c r="F20" s="15" t="s">
        <v>81</v>
      </c>
    </row>
    <row r="21" spans="5:6" x14ac:dyDescent="0.3">
      <c r="E21" s="14" t="b">
        <v>0</v>
      </c>
      <c r="F21" s="15" t="s">
        <v>81</v>
      </c>
    </row>
    <row r="22" spans="5:6" x14ac:dyDescent="0.3">
      <c r="E22" s="12" t="s">
        <v>87</v>
      </c>
    </row>
    <row r="23" spans="5:6" x14ac:dyDescent="0.3">
      <c r="E23" s="14" t="b">
        <v>1</v>
      </c>
      <c r="F23" s="15" t="s">
        <v>81</v>
      </c>
    </row>
    <row r="24" spans="5:6" x14ac:dyDescent="0.3">
      <c r="E24" s="14" t="b">
        <v>0</v>
      </c>
      <c r="F24" s="15" t="s">
        <v>81</v>
      </c>
    </row>
    <row r="25" spans="5:6" ht="16.2" x14ac:dyDescent="0.3">
      <c r="E25" s="16" t="s">
        <v>88</v>
      </c>
    </row>
    <row r="26" spans="5:6" x14ac:dyDescent="0.3">
      <c r="E26" s="14" t="b">
        <v>1</v>
      </c>
      <c r="F26" s="15" t="s">
        <v>81</v>
      </c>
    </row>
    <row r="27" spans="5:6" x14ac:dyDescent="0.3">
      <c r="E27" s="14" t="b">
        <v>0</v>
      </c>
      <c r="F27" s="15" t="s">
        <v>81</v>
      </c>
    </row>
    <row r="28" spans="5:6" x14ac:dyDescent="0.3">
      <c r="E28" s="17" t="s">
        <v>89</v>
      </c>
    </row>
    <row r="29" spans="5:6" x14ac:dyDescent="0.3">
      <c r="E29" s="14" t="b">
        <v>1</v>
      </c>
      <c r="F29" s="15" t="s">
        <v>81</v>
      </c>
    </row>
    <row r="30" spans="5:6" x14ac:dyDescent="0.3">
      <c r="E30" s="14" t="b">
        <v>0</v>
      </c>
      <c r="F30" s="15" t="s">
        <v>81</v>
      </c>
    </row>
    <row r="31" spans="5:6" ht="15.6" x14ac:dyDescent="0.3">
      <c r="E31" s="17" t="s">
        <v>90</v>
      </c>
    </row>
    <row r="32" spans="5:6" x14ac:dyDescent="0.3">
      <c r="E32" s="14" t="b">
        <v>1</v>
      </c>
      <c r="F32" s="15" t="s">
        <v>81</v>
      </c>
    </row>
    <row r="33" spans="5:6" x14ac:dyDescent="0.3">
      <c r="E33" s="14" t="b">
        <v>0</v>
      </c>
      <c r="F33" s="15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B56" sqref="B56"/>
    </sheetView>
  </sheetViews>
  <sheetFormatPr defaultRowHeight="14.4" x14ac:dyDescent="0.3"/>
  <cols>
    <col min="6" max="6" width="12" customWidth="1"/>
  </cols>
  <sheetData>
    <row r="1" spans="1:23" ht="16.2" thickBot="1" x14ac:dyDescent="0.35">
      <c r="A1" t="s">
        <v>63</v>
      </c>
      <c r="B1" s="10" t="s">
        <v>62</v>
      </c>
      <c r="C1" s="11"/>
      <c r="D1" s="11"/>
      <c r="E1" s="11"/>
      <c r="F1" s="3" t="s">
        <v>3</v>
      </c>
      <c r="G1" s="4">
        <v>67.7</v>
      </c>
    </row>
    <row r="2" spans="1:23" ht="31.8" thickBot="1" x14ac:dyDescent="0.35">
      <c r="B2" s="11">
        <f>Auxiliar!C2/(Auxiliar!C2+Auxiliar!C3+Auxiliar!C4+Auxiliar!C5+Auxiliar!C6)</f>
        <v>0.84837092731829566</v>
      </c>
      <c r="C2" s="11" t="s">
        <v>4</v>
      </c>
      <c r="D2" s="11"/>
      <c r="E2" s="11"/>
      <c r="F2" s="6" t="s">
        <v>6</v>
      </c>
      <c r="G2" s="7">
        <v>4.4000000000000004</v>
      </c>
    </row>
    <row r="3" spans="1:23" ht="16.2" thickBot="1" x14ac:dyDescent="0.35">
      <c r="B3" s="11">
        <f>Auxiliar!C3/(SUM(Auxiliar!C2:C6))</f>
        <v>5.5137844611528819E-2</v>
      </c>
      <c r="C3" s="11" t="s">
        <v>7</v>
      </c>
      <c r="D3" s="11"/>
      <c r="E3" s="11"/>
      <c r="F3" s="6" t="s">
        <v>9</v>
      </c>
      <c r="G3" s="7">
        <v>1.5</v>
      </c>
    </row>
    <row r="4" spans="1:23" ht="16.2" thickBot="1" x14ac:dyDescent="0.35">
      <c r="F4" s="6" t="s">
        <v>11</v>
      </c>
      <c r="G4" s="7">
        <v>1</v>
      </c>
    </row>
    <row r="5" spans="1:23" ht="16.2" thickBot="1" x14ac:dyDescent="0.35">
      <c r="F5" s="6" t="s">
        <v>13</v>
      </c>
      <c r="G5" s="7">
        <v>5.2</v>
      </c>
    </row>
    <row r="6" spans="1:23" ht="16.2" thickBot="1" x14ac:dyDescent="0.35">
      <c r="B6" t="s">
        <v>66</v>
      </c>
      <c r="C6" t="s">
        <v>64</v>
      </c>
      <c r="F6" s="6" t="s">
        <v>15</v>
      </c>
      <c r="G6" s="7">
        <v>13.4</v>
      </c>
    </row>
    <row r="7" spans="1:23" ht="15.6" x14ac:dyDescent="0.3">
      <c r="F7" s="8" t="s">
        <v>67</v>
      </c>
      <c r="G7">
        <f>100-(SUM(G1:G6))</f>
        <v>6.7999999999999829</v>
      </c>
    </row>
    <row r="10" spans="1:23" x14ac:dyDescent="0.3">
      <c r="A10" t="s">
        <v>65</v>
      </c>
      <c r="B10" s="5">
        <v>2270</v>
      </c>
      <c r="C10" s="5" t="s">
        <v>5</v>
      </c>
      <c r="D10" t="s">
        <v>61</v>
      </c>
    </row>
    <row r="11" spans="1:23" x14ac:dyDescent="0.3">
      <c r="B11" s="5">
        <v>35</v>
      </c>
      <c r="C11" s="5" t="s">
        <v>8</v>
      </c>
      <c r="D11" t="s">
        <v>60</v>
      </c>
    </row>
    <row r="13" spans="1:23" x14ac:dyDescent="0.3">
      <c r="B13" s="5" t="s">
        <v>68</v>
      </c>
      <c r="C13" s="5"/>
      <c r="D13" s="5"/>
      <c r="E13" s="5"/>
      <c r="F13" s="5">
        <f>B11-L15*44/100</f>
        <v>34.031999999999996</v>
      </c>
      <c r="G13" s="5" t="s">
        <v>8</v>
      </c>
    </row>
    <row r="15" spans="1:23" x14ac:dyDescent="0.3">
      <c r="B15" s="5" t="s">
        <v>4</v>
      </c>
      <c r="C15" s="5" t="s">
        <v>7</v>
      </c>
      <c r="D15" s="5" t="s">
        <v>10</v>
      </c>
      <c r="E15" s="5" t="s">
        <v>12</v>
      </c>
      <c r="F15" s="5" t="s">
        <v>14</v>
      </c>
      <c r="G15" s="5" t="s">
        <v>24</v>
      </c>
      <c r="H15" s="5" t="s">
        <v>23</v>
      </c>
      <c r="J15" s="5" t="s">
        <v>31</v>
      </c>
      <c r="K15" s="5" t="s">
        <v>25</v>
      </c>
      <c r="L15">
        <f>C16/2</f>
        <v>2.2000000000000002</v>
      </c>
      <c r="M15" s="5" t="s">
        <v>17</v>
      </c>
      <c r="N15" s="5" t="s">
        <v>32</v>
      </c>
      <c r="O15" s="5" t="s">
        <v>26</v>
      </c>
      <c r="P15" s="5" t="s">
        <v>33</v>
      </c>
      <c r="Q15" s="5" t="s">
        <v>27</v>
      </c>
      <c r="R15">
        <f>E16</f>
        <v>3.125E-2</v>
      </c>
      <c r="S15" s="5" t="s">
        <v>28</v>
      </c>
      <c r="T15" s="5" t="s">
        <v>34</v>
      </c>
      <c r="U15" s="5" t="s">
        <v>29</v>
      </c>
      <c r="V15" s="5" t="s">
        <v>35</v>
      </c>
      <c r="W15" s="5" t="s">
        <v>30</v>
      </c>
    </row>
    <row r="16" spans="1:23" x14ac:dyDescent="0.3">
      <c r="B16">
        <f>67.7/12</f>
        <v>5.6416666666666666</v>
      </c>
      <c r="C16">
        <f>4.4/1</f>
        <v>4.4000000000000004</v>
      </c>
      <c r="D16">
        <f>1.5/14</f>
        <v>0.10714285714285714</v>
      </c>
      <c r="E16">
        <f>1/32</f>
        <v>3.125E-2</v>
      </c>
      <c r="F16">
        <f>5.2/16</f>
        <v>0.32500000000000001</v>
      </c>
    </row>
    <row r="18" spans="1:7" x14ac:dyDescent="0.3">
      <c r="A18" t="s">
        <v>69</v>
      </c>
    </row>
    <row r="19" spans="1:7" x14ac:dyDescent="0.3">
      <c r="B19" t="s">
        <v>36</v>
      </c>
      <c r="D19">
        <v>3.9999999999999996E-4</v>
      </c>
      <c r="F19" t="s">
        <v>33</v>
      </c>
      <c r="G19">
        <v>4.3103448275862065E-2</v>
      </c>
    </row>
    <row r="21" spans="1:7" x14ac:dyDescent="0.3">
      <c r="B21" t="s">
        <v>37</v>
      </c>
      <c r="D21">
        <v>0.01</v>
      </c>
      <c r="F21" t="s">
        <v>34</v>
      </c>
      <c r="G21">
        <v>1.0775862068965518</v>
      </c>
    </row>
    <row r="23" spans="1:7" x14ac:dyDescent="0.3">
      <c r="B23" t="s">
        <v>38</v>
      </c>
      <c r="D23">
        <v>4.3E-3</v>
      </c>
      <c r="F23" t="s">
        <v>35</v>
      </c>
      <c r="G23">
        <v>0.46336206896551724</v>
      </c>
    </row>
    <row r="25" spans="1:7" x14ac:dyDescent="0.3">
      <c r="B25" t="s">
        <v>40</v>
      </c>
      <c r="C25">
        <v>5.6416666666666666</v>
      </c>
      <c r="E25" t="s">
        <v>31</v>
      </c>
      <c r="F25">
        <v>5.1783045977011497</v>
      </c>
    </row>
    <row r="27" spans="1:7" x14ac:dyDescent="0.3">
      <c r="B27" t="s">
        <v>41</v>
      </c>
      <c r="C27">
        <v>99.135602627257796</v>
      </c>
      <c r="E27" t="s">
        <v>32</v>
      </c>
      <c r="F27">
        <v>99.092499178981939</v>
      </c>
    </row>
    <row r="29" spans="1:7" x14ac:dyDescent="0.3">
      <c r="B29" t="s">
        <v>42</v>
      </c>
      <c r="E29" t="s">
        <v>24</v>
      </c>
      <c r="F29">
        <v>13.168678160919541</v>
      </c>
    </row>
    <row r="31" spans="1:7" x14ac:dyDescent="0.3">
      <c r="B31" t="s">
        <v>43</v>
      </c>
      <c r="C31" t="s">
        <v>70</v>
      </c>
      <c r="E31" t="s">
        <v>71</v>
      </c>
      <c r="G31">
        <f>F29*(32+3.76*28)/100</f>
        <v>18.077961379310345</v>
      </c>
    </row>
    <row r="33" spans="1:7" x14ac:dyDescent="0.3">
      <c r="A33" t="s">
        <v>72</v>
      </c>
      <c r="B33" t="s">
        <v>73</v>
      </c>
      <c r="D33" t="s">
        <v>27</v>
      </c>
      <c r="E33">
        <v>4.0000000000000002E-4</v>
      </c>
      <c r="F33" t="s">
        <v>55</v>
      </c>
    </row>
    <row r="35" spans="1:7" x14ac:dyDescent="0.3">
      <c r="B35" s="5" t="s">
        <v>74</v>
      </c>
    </row>
    <row r="36" spans="1:7" x14ac:dyDescent="0.3">
      <c r="B36" t="s">
        <v>53</v>
      </c>
      <c r="C36">
        <v>32.539199216015675</v>
      </c>
    </row>
    <row r="38" spans="1:7" x14ac:dyDescent="0.3">
      <c r="B38" t="s">
        <v>52</v>
      </c>
      <c r="C38">
        <v>43.379525942515855</v>
      </c>
    </row>
    <row r="40" spans="1:7" x14ac:dyDescent="0.3">
      <c r="B40" t="s">
        <v>2</v>
      </c>
      <c r="C40" t="s">
        <v>27</v>
      </c>
      <c r="D40">
        <f>14+32</f>
        <v>46</v>
      </c>
      <c r="E40" t="s">
        <v>22</v>
      </c>
    </row>
    <row r="42" spans="1:7" x14ac:dyDescent="0.3">
      <c r="B42" t="s">
        <v>54</v>
      </c>
      <c r="C42">
        <v>3.0004199916001679E-4</v>
      </c>
      <c r="D42" t="s">
        <v>55</v>
      </c>
    </row>
    <row r="45" spans="1:7" x14ac:dyDescent="0.3">
      <c r="B45" t="s">
        <v>56</v>
      </c>
      <c r="C45">
        <v>4.0362096439578748E-2</v>
      </c>
    </row>
    <row r="48" spans="1:7" x14ac:dyDescent="0.3">
      <c r="B48" t="s">
        <v>54</v>
      </c>
      <c r="C48">
        <v>363.30972318061811</v>
      </c>
      <c r="D48" t="s">
        <v>57</v>
      </c>
      <c r="E48" t="s">
        <v>58</v>
      </c>
      <c r="F48">
        <v>200</v>
      </c>
      <c r="G48" t="s">
        <v>57</v>
      </c>
    </row>
    <row r="51" spans="1:2" x14ac:dyDescent="0.3">
      <c r="B51" t="s">
        <v>59</v>
      </c>
    </row>
    <row r="53" spans="1:2" x14ac:dyDescent="0.3">
      <c r="A53" t="s">
        <v>75</v>
      </c>
      <c r="B53" t="s">
        <v>76</v>
      </c>
    </row>
    <row r="54" spans="1:2" x14ac:dyDescent="0.3">
      <c r="B54" t="s">
        <v>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Auxiliar</vt:lpstr>
      <vt:lpstr>Part I</vt:lpstr>
      <vt:lpstr>Part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2018-05-14T13:39:18Z</dcterms:created>
  <dcterms:modified xsi:type="dcterms:W3CDTF">2018-06-27T18:05:59Z</dcterms:modified>
</cp:coreProperties>
</file>